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1A352C3F-6A07-4E92-A9FB-5BE5934277FE}" xr6:coauthVersionLast="47" xr6:coauthVersionMax="47" xr10:uidLastSave="{00000000-0000-0000-0000-000000000000}"/>
  <bookViews>
    <workbookView xWindow="28680" yWindow="-120" windowWidth="29040" windowHeight="15720" xr2:uid="{EB29F14C-0F7A-4DCE-8315-ACDB1A28F795}"/>
  </bookViews>
  <sheets>
    <sheet name="Geo Company Specific" sheetId="1" r:id="rId1"/>
  </sheets>
  <definedNames>
    <definedName name="_xlnm._FilterDatabase" localSheetId="0" hidden="1">'Geo Company Specific'!$A$1:$O$29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28" i="1"/>
  <c r="K27" i="1"/>
  <c r="E27" i="1"/>
  <c r="E26" i="1"/>
  <c r="E24" i="1"/>
  <c r="K23" i="1"/>
  <c r="K22" i="1"/>
  <c r="E22" i="1"/>
  <c r="K20" i="1"/>
  <c r="E20" i="1"/>
  <c r="E18" i="1"/>
  <c r="K14" i="1"/>
  <c r="E13" i="1"/>
  <c r="K12" i="1"/>
  <c r="K11" i="1"/>
  <c r="E11" i="1"/>
  <c r="E10" i="1"/>
  <c r="E7" i="1"/>
  <c r="E5" i="1"/>
  <c r="K4" i="1"/>
  <c r="E4" i="1"/>
  <c r="K3" i="1"/>
  <c r="E3" i="1"/>
  <c r="K2" i="1"/>
  <c r="E2" i="1"/>
</calcChain>
</file>

<file path=xl/sharedStrings.xml><?xml version="1.0" encoding="utf-8"?>
<sst xmlns="http://schemas.openxmlformats.org/spreadsheetml/2006/main" count="183" uniqueCount="79">
  <si>
    <t>Subzone</t>
  </si>
  <si>
    <t>Community</t>
  </si>
  <si>
    <t>Company</t>
  </si>
  <si>
    <t>Reported Actual Investment</t>
  </si>
  <si>
    <t xml:space="preserve">Projected Job Creation </t>
  </si>
  <si>
    <t xml:space="preserve">Projected Job Retention </t>
  </si>
  <si>
    <t>Reported Avg Weekly Wage of Jobs Created</t>
  </si>
  <si>
    <t>% Change in Taxable Value (TV)</t>
  </si>
  <si>
    <t>% Change in SEV</t>
  </si>
  <si>
    <t>First Year Benefits Received</t>
  </si>
  <si>
    <t>Elisha Gray Enterprise Park</t>
  </si>
  <si>
    <t>Benton Charter Township</t>
  </si>
  <si>
    <t>Miller's Pond</t>
  </si>
  <si>
    <t>City of Benton Harbor</t>
  </si>
  <si>
    <t>Edgewater Redevelopment Area</t>
  </si>
  <si>
    <t>City of St. Joseph</t>
  </si>
  <si>
    <t>Central Business District</t>
  </si>
  <si>
    <t>City of Saginaw</t>
  </si>
  <si>
    <t>Hamilton Street Development, LLC (f/k/a SSP &amp; Associates, Inc.)    (Amended)</t>
  </si>
  <si>
    <t>Did Not Report</t>
  </si>
  <si>
    <t>Production Engineering Subzone</t>
  </si>
  <si>
    <t>City of Jackson</t>
  </si>
  <si>
    <t>Alro Steel Corporation - Plastics</t>
  </si>
  <si>
    <t>Downtown-Office-Retail</t>
  </si>
  <si>
    <t>City of Flint</t>
  </si>
  <si>
    <t>Historic-Industrial-Housing</t>
  </si>
  <si>
    <t xml:space="preserve">River City Developments, LLC and Rogers Foam Corporation </t>
  </si>
  <si>
    <t>Great Lakes Medical Complex</t>
  </si>
  <si>
    <t xml:space="preserve">Did Not Report </t>
  </si>
  <si>
    <t xml:space="preserve">Furniture Center </t>
  </si>
  <si>
    <t>City of Grand Rapids</t>
  </si>
  <si>
    <t>Furniture Center</t>
  </si>
  <si>
    <t>Did Not Report - No Reporting Requirements</t>
  </si>
  <si>
    <t>Grandville</t>
  </si>
  <si>
    <t>Wealthy-Eastern-Franklin</t>
  </si>
  <si>
    <t>Ottawa Station</t>
  </si>
  <si>
    <t>City of Lansing</t>
  </si>
  <si>
    <t>Knapp's Centre</t>
  </si>
  <si>
    <t>Midlink Business Park</t>
  </si>
  <si>
    <t>Township of Comstock</t>
  </si>
  <si>
    <t>BC Tower</t>
  </si>
  <si>
    <t>City of Battle Creek</t>
  </si>
  <si>
    <t>Eastlake/ Filer/Manistee and Eastlake/Filer/ Manistee II</t>
  </si>
  <si>
    <t>City of Manistee</t>
  </si>
  <si>
    <t>Village of Edmore</t>
  </si>
  <si>
    <t>Muskegon Mall/Rook Project</t>
  </si>
  <si>
    <t>City of Muskegon</t>
  </si>
  <si>
    <t>Former Muskegon Mall</t>
  </si>
  <si>
    <t>Midtown Hospital Campus</t>
  </si>
  <si>
    <t>Wayne County</t>
  </si>
  <si>
    <t xml:space="preserve">VHS of Michigan, Inc. (Vanguard/DMC) </t>
  </si>
  <si>
    <t>Woodward Avenue (Old Hudson's Bldg.)</t>
  </si>
  <si>
    <t xml:space="preserve">1208 Woodward, LLC </t>
  </si>
  <si>
    <t>Required Investment</t>
  </si>
  <si>
    <t>Reported Current Jobs</t>
  </si>
  <si>
    <t>Reported Jobs Transferred
to Zone</t>
  </si>
  <si>
    <t>Reported Baseline Jobs at Designation</t>
  </si>
  <si>
    <t>Reported Actual Job Creation</t>
  </si>
  <si>
    <t>Whirlpool Corp.</t>
  </si>
  <si>
    <t>500 Block, LLC</t>
  </si>
  <si>
    <t>Baker Uptown, LLC</t>
  </si>
  <si>
    <t>Community First, LLC</t>
  </si>
  <si>
    <t>General Motors</t>
  </si>
  <si>
    <t>IINN, Inc.</t>
  </si>
  <si>
    <t>Diplomat Specialty Pharmacy, LLC</t>
  </si>
  <si>
    <t>607 Dewey, LLC (True North)</t>
  </si>
  <si>
    <t>American Seating</t>
  </si>
  <si>
    <t>Hotel Holdings Monroe</t>
  </si>
  <si>
    <t>Seventh Street Properties, LLC</t>
  </si>
  <si>
    <t>Intrepid Web, LLC</t>
  </si>
  <si>
    <t>Wealthy Street Historic Development, LLC</t>
  </si>
  <si>
    <t>Phoenix Development Partners, LLC &amp; Accident Fund</t>
  </si>
  <si>
    <t>Eyde Knapp Development, LLC</t>
  </si>
  <si>
    <t>Kaiser Aluminum Fabricated Products, LLC</t>
  </si>
  <si>
    <t>The Hinman Company</t>
  </si>
  <si>
    <t>American Materials (Reith 
Riley)</t>
  </si>
  <si>
    <t>Specialty Lifting Equipment, Inc</t>
  </si>
  <si>
    <t>Parkland Muskegon, LLC</t>
  </si>
  <si>
    <t>Heritage Square Development,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</si>
</sst>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"/>
    <numFmt numFmtId="166" formatCode="#,##0.0"/>
    <numFmt numFmtId="167" formatCode="#,##0.0_);\(#,##0.0\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/>
    <xf numFmtId="0" fontId="2" fillId="2" borderId="1" xfId="0" applyFont="1" applyFill="1" applyBorder="1" applyAlignment="1">
      <alignment horizontal="left" vertical="center" wrapText="1"/>
    </xf>
    <xf numFmtId="1" fontId="2" fillId="2" borderId="1" xfId="1" applyNumberFormat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164" fontId="2" fillId="2" borderId="1" xfId="1" applyNumberFormat="1" applyFont="1" applyFill="1" applyBorder="1" applyAlignment="1">
      <alignment horizontal="right" vertical="center"/>
    </xf>
    <xf numFmtId="164" fontId="2" fillId="2" borderId="1" xfId="2" applyNumberFormat="1" applyFont="1" applyFill="1" applyBorder="1" applyAlignment="1">
      <alignment horizontal="right" vertical="center"/>
    </xf>
    <xf numFmtId="164" fontId="2" fillId="2" borderId="1" xfId="1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64" fontId="2" fillId="0" borderId="1" xfId="2" applyNumberFormat="1" applyFont="1" applyFill="1" applyBorder="1" applyAlignment="1">
      <alignment horizontal="right" vertical="center"/>
    </xf>
    <xf numFmtId="164" fontId="2" fillId="2" borderId="1" xfId="2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4" fontId="2" fillId="2" borderId="1" xfId="0" applyNumberFormat="1" applyFont="1" applyFill="1" applyBorder="1"/>
    <xf numFmtId="164" fontId="2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37" fontId="2" fillId="0" borderId="1" xfId="1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right" vertical="center"/>
    </xf>
    <xf numFmtId="167" fontId="2" fillId="0" borderId="1" xfId="1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 vertical="center" wrapText="1"/>
    </xf>
    <xf numFmtId="37" fontId="2" fillId="0" borderId="1" xfId="1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0C8C2-8ED2-4022-A72A-D9331EC63D7F}">
  <sheetPr>
    <tabColor rgb="FF00B050"/>
    <pageSetUpPr fitToPage="1"/>
  </sheetPr>
  <dimension ref="A1:P29"/>
  <sheetViews>
    <sheetView showGridLines="0" tabSelected="1" zoomScaleNormal="100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31.42578125" style="1" bestFit="1" customWidth="1"/>
    <col min="2" max="2" width="23.85546875" style="1" bestFit="1" customWidth="1"/>
    <col min="3" max="3" width="30.140625" style="1" bestFit="1" customWidth="1"/>
    <col min="4" max="4" width="15.7109375" style="1" bestFit="1" customWidth="1"/>
    <col min="5" max="5" width="20" style="1" bestFit="1" customWidth="1"/>
    <col min="6" max="7" width="18.5703125" style="1" bestFit="1" customWidth="1"/>
    <col min="8" max="8" width="25.5703125" style="1" bestFit="1" customWidth="1"/>
    <col min="9" max="9" width="18.5703125" style="1" bestFit="1" customWidth="1"/>
    <col min="10" max="10" width="28.7109375" style="1" bestFit="1" customWidth="1"/>
    <col min="11" max="11" width="20" style="1" bestFit="1" customWidth="1"/>
    <col min="12" max="12" width="25.140625" style="1" bestFit="1" customWidth="1"/>
    <col min="13" max="13" width="29.5703125" style="1" bestFit="1" customWidth="1"/>
    <col min="14" max="14" width="20.140625" style="1" bestFit="1" customWidth="1"/>
    <col min="15" max="15" width="13.85546875" style="1" bestFit="1" customWidth="1"/>
    <col min="16" max="16384" width="9.140625" style="1"/>
  </cols>
  <sheetData>
    <row r="1" spans="1:16" ht="45" x14ac:dyDescent="0.25">
      <c r="A1" s="3" t="s">
        <v>0</v>
      </c>
      <c r="B1" s="2" t="s">
        <v>1</v>
      </c>
      <c r="C1" s="3" t="s">
        <v>2</v>
      </c>
      <c r="D1" s="3" t="s">
        <v>53</v>
      </c>
      <c r="E1" s="3" t="s">
        <v>3</v>
      </c>
      <c r="F1" s="3" t="s">
        <v>4</v>
      </c>
      <c r="G1" s="3" t="s">
        <v>5</v>
      </c>
      <c r="H1" s="3" t="s">
        <v>54</v>
      </c>
      <c r="I1" s="3" t="s">
        <v>55</v>
      </c>
      <c r="J1" s="3" t="s">
        <v>56</v>
      </c>
      <c r="K1" s="3" t="s">
        <v>57</v>
      </c>
      <c r="L1" s="3" t="s">
        <v>6</v>
      </c>
      <c r="M1" s="3" t="s">
        <v>7</v>
      </c>
      <c r="N1" s="3" t="s">
        <v>8</v>
      </c>
      <c r="O1" s="3" t="s">
        <v>9</v>
      </c>
    </row>
    <row r="2" spans="1:16" x14ac:dyDescent="0.25">
      <c r="A2" s="14" t="s">
        <v>10</v>
      </c>
      <c r="B2" s="4" t="s">
        <v>11</v>
      </c>
      <c r="C2" s="7" t="s">
        <v>58</v>
      </c>
      <c r="D2" s="15">
        <v>21538996</v>
      </c>
      <c r="E2" s="16">
        <f>SUM(32685729+842014+306112+1589335+77355+733663+523554+651862+806487+964564)</f>
        <v>39180675</v>
      </c>
      <c r="F2" s="5">
        <v>0</v>
      </c>
      <c r="G2" s="5">
        <v>0</v>
      </c>
      <c r="H2" s="5">
        <v>356</v>
      </c>
      <c r="I2" s="5">
        <v>120</v>
      </c>
      <c r="J2" s="5">
        <v>0</v>
      </c>
      <c r="K2" s="5">
        <f>H2-I2</f>
        <v>236</v>
      </c>
      <c r="L2" s="17">
        <v>1057</v>
      </c>
      <c r="M2" s="18">
        <v>32.25</v>
      </c>
      <c r="N2" s="18">
        <v>32.25</v>
      </c>
      <c r="O2" s="19">
        <v>40544</v>
      </c>
      <c r="P2" s="6"/>
    </row>
    <row r="3" spans="1:16" x14ac:dyDescent="0.25">
      <c r="A3" s="14" t="s">
        <v>12</v>
      </c>
      <c r="B3" s="7" t="s">
        <v>13</v>
      </c>
      <c r="C3" s="7" t="s">
        <v>58</v>
      </c>
      <c r="D3" s="15">
        <v>65325843</v>
      </c>
      <c r="E3" s="20">
        <f>SUM(91596394+39231+2554543)</f>
        <v>94190168</v>
      </c>
      <c r="F3" s="5">
        <v>0</v>
      </c>
      <c r="G3" s="5">
        <v>0</v>
      </c>
      <c r="H3" s="5">
        <v>500</v>
      </c>
      <c r="I3" s="5">
        <v>221</v>
      </c>
      <c r="J3" s="5">
        <v>0</v>
      </c>
      <c r="K3" s="5">
        <f>H3-I3</f>
        <v>279</v>
      </c>
      <c r="L3" s="21">
        <v>3000</v>
      </c>
      <c r="M3" s="22">
        <v>-1.68</v>
      </c>
      <c r="N3" s="5">
        <v>-3.95</v>
      </c>
      <c r="O3" s="19">
        <v>40544</v>
      </c>
    </row>
    <row r="4" spans="1:16" x14ac:dyDescent="0.25">
      <c r="A4" s="23" t="s">
        <v>14</v>
      </c>
      <c r="B4" s="7" t="s">
        <v>15</v>
      </c>
      <c r="C4" s="7" t="s">
        <v>58</v>
      </c>
      <c r="D4" s="15">
        <v>175000</v>
      </c>
      <c r="E4" s="16">
        <f>SUM(83184441+720690+2265477+4137437+741707+452335+561171+153297+96512+736171)</f>
        <v>93049238</v>
      </c>
      <c r="F4" s="5">
        <v>0</v>
      </c>
      <c r="G4" s="5">
        <v>0</v>
      </c>
      <c r="H4" s="13">
        <v>515</v>
      </c>
      <c r="I4" s="5">
        <v>39</v>
      </c>
      <c r="J4" s="5">
        <v>0</v>
      </c>
      <c r="K4" s="13">
        <f>H4-I4</f>
        <v>476</v>
      </c>
      <c r="L4" s="21">
        <v>2460</v>
      </c>
      <c r="M4" s="18">
        <v>-52.74</v>
      </c>
      <c r="N4" s="5">
        <v>-47.12</v>
      </c>
      <c r="O4" s="19">
        <v>40544</v>
      </c>
    </row>
    <row r="5" spans="1:16" ht="45" x14ac:dyDescent="0.25">
      <c r="A5" s="24" t="s">
        <v>16</v>
      </c>
      <c r="B5" s="24" t="s">
        <v>17</v>
      </c>
      <c r="C5" s="24" t="s">
        <v>18</v>
      </c>
      <c r="D5" s="25">
        <v>6148000</v>
      </c>
      <c r="E5" s="25">
        <f>SUM(5824669+2338479+415185.36+476654.15+146)</f>
        <v>9055133.5099999998</v>
      </c>
      <c r="F5" s="5">
        <v>12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26">
        <v>0</v>
      </c>
      <c r="M5" s="49" t="s">
        <v>19</v>
      </c>
      <c r="N5" s="49" t="s">
        <v>19</v>
      </c>
      <c r="O5" s="28">
        <v>40909</v>
      </c>
    </row>
    <row r="6" spans="1:16" x14ac:dyDescent="0.25">
      <c r="A6" s="24" t="s">
        <v>20</v>
      </c>
      <c r="B6" s="29" t="s">
        <v>21</v>
      </c>
      <c r="C6" s="24" t="s">
        <v>22</v>
      </c>
      <c r="D6" s="25">
        <v>1800000</v>
      </c>
      <c r="E6" s="26" t="s">
        <v>19</v>
      </c>
      <c r="F6" s="47" t="s">
        <v>19</v>
      </c>
      <c r="G6" s="47" t="s">
        <v>19</v>
      </c>
      <c r="H6" s="47" t="s">
        <v>19</v>
      </c>
      <c r="I6" s="47" t="s">
        <v>19</v>
      </c>
      <c r="J6" s="47" t="s">
        <v>19</v>
      </c>
      <c r="K6" s="47" t="s">
        <v>19</v>
      </c>
      <c r="L6" s="47" t="s">
        <v>19</v>
      </c>
      <c r="M6" s="47" t="s">
        <v>19</v>
      </c>
      <c r="N6" s="47" t="s">
        <v>19</v>
      </c>
      <c r="O6" s="19">
        <v>41275</v>
      </c>
    </row>
    <row r="7" spans="1:16" x14ac:dyDescent="0.25">
      <c r="A7" s="24" t="s">
        <v>23</v>
      </c>
      <c r="B7" s="24" t="s">
        <v>24</v>
      </c>
      <c r="C7" s="24" t="s">
        <v>59</v>
      </c>
      <c r="D7" s="16">
        <v>20000000</v>
      </c>
      <c r="E7" s="25">
        <f>SUM(21295988+16230)</f>
        <v>21312218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26">
        <v>0</v>
      </c>
      <c r="M7" s="18">
        <v>435.66</v>
      </c>
      <c r="N7" s="18">
        <v>459</v>
      </c>
      <c r="O7" s="30">
        <v>39814</v>
      </c>
    </row>
    <row r="8" spans="1:16" x14ac:dyDescent="0.25">
      <c r="A8" s="24" t="s">
        <v>23</v>
      </c>
      <c r="B8" s="24" t="s">
        <v>24</v>
      </c>
      <c r="C8" s="24" t="s">
        <v>60</v>
      </c>
      <c r="D8" s="16">
        <v>5200000</v>
      </c>
      <c r="E8" s="31">
        <v>5368854</v>
      </c>
      <c r="F8" s="8">
        <v>42</v>
      </c>
      <c r="G8" s="8">
        <v>35</v>
      </c>
      <c r="H8" s="8">
        <v>0</v>
      </c>
      <c r="I8" s="8">
        <v>0</v>
      </c>
      <c r="J8" s="8">
        <v>0</v>
      </c>
      <c r="K8" s="8">
        <v>0</v>
      </c>
      <c r="L8" s="26">
        <v>0</v>
      </c>
      <c r="M8" s="18">
        <v>77.790000000000006</v>
      </c>
      <c r="N8" s="18">
        <v>417.3</v>
      </c>
      <c r="O8" s="30">
        <v>39814</v>
      </c>
    </row>
    <row r="9" spans="1:16" x14ac:dyDescent="0.25">
      <c r="A9" s="24" t="s">
        <v>23</v>
      </c>
      <c r="B9" s="24" t="s">
        <v>24</v>
      </c>
      <c r="C9" s="24" t="s">
        <v>61</v>
      </c>
      <c r="D9" s="16">
        <v>3000000</v>
      </c>
      <c r="E9" s="31">
        <v>3352000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26">
        <v>0</v>
      </c>
      <c r="M9" s="18">
        <v>129</v>
      </c>
      <c r="N9" s="18">
        <v>728.22</v>
      </c>
      <c r="O9" s="30">
        <v>39814</v>
      </c>
    </row>
    <row r="10" spans="1:16" ht="30" x14ac:dyDescent="0.25">
      <c r="A10" s="24" t="s">
        <v>25</v>
      </c>
      <c r="B10" s="24" t="s">
        <v>24</v>
      </c>
      <c r="C10" s="24" t="s">
        <v>26</v>
      </c>
      <c r="D10" s="16">
        <v>100000</v>
      </c>
      <c r="E10" s="31">
        <f>SUM(2398047+10000+154000+175000+50000+8000)</f>
        <v>2795047</v>
      </c>
      <c r="F10" s="8">
        <v>15</v>
      </c>
      <c r="G10" s="8">
        <v>0</v>
      </c>
      <c r="H10" s="9" t="s">
        <v>19</v>
      </c>
      <c r="I10" s="9" t="s">
        <v>19</v>
      </c>
      <c r="J10" s="9" t="s">
        <v>19</v>
      </c>
      <c r="K10" s="9" t="s">
        <v>19</v>
      </c>
      <c r="L10" s="9" t="s">
        <v>19</v>
      </c>
      <c r="M10" s="9" t="s">
        <v>19</v>
      </c>
      <c r="N10" s="9" t="s">
        <v>19</v>
      </c>
      <c r="O10" s="30">
        <v>39814</v>
      </c>
    </row>
    <row r="11" spans="1:16" x14ac:dyDescent="0.25">
      <c r="A11" s="24" t="s">
        <v>25</v>
      </c>
      <c r="B11" s="24" t="s">
        <v>24</v>
      </c>
      <c r="C11" s="24" t="s">
        <v>62</v>
      </c>
      <c r="D11" s="16">
        <v>5000000</v>
      </c>
      <c r="E11" s="31">
        <f>SUM(35412650+1362267+1049451.96+2563909.06+6889880.95)</f>
        <v>47278158.970000006</v>
      </c>
      <c r="F11" s="8">
        <v>0</v>
      </c>
      <c r="G11" s="8">
        <v>267</v>
      </c>
      <c r="H11" s="8">
        <v>280</v>
      </c>
      <c r="I11" s="8">
        <v>69</v>
      </c>
      <c r="J11" s="9">
        <v>267</v>
      </c>
      <c r="K11" s="8">
        <f>H11-I11-J11</f>
        <v>-56</v>
      </c>
      <c r="L11" s="26">
        <v>1450</v>
      </c>
      <c r="M11" s="18">
        <v>-89.18</v>
      </c>
      <c r="N11" s="18">
        <v>-87.89</v>
      </c>
      <c r="O11" s="30">
        <v>39814</v>
      </c>
    </row>
    <row r="12" spans="1:16" x14ac:dyDescent="0.25">
      <c r="A12" s="24" t="s">
        <v>27</v>
      </c>
      <c r="B12" s="24" t="s">
        <v>24</v>
      </c>
      <c r="C12" s="24" t="s">
        <v>63</v>
      </c>
      <c r="D12" s="16">
        <v>18000000</v>
      </c>
      <c r="E12" s="32">
        <v>11526745</v>
      </c>
      <c r="F12" s="8">
        <v>100</v>
      </c>
      <c r="G12" s="8">
        <v>20</v>
      </c>
      <c r="H12" s="8">
        <v>354</v>
      </c>
      <c r="I12" s="8">
        <v>0</v>
      </c>
      <c r="J12" s="8">
        <v>20</v>
      </c>
      <c r="K12" s="8">
        <f>H12-I12-J12</f>
        <v>334</v>
      </c>
      <c r="L12" s="26">
        <v>708</v>
      </c>
      <c r="M12" s="22" t="s">
        <v>19</v>
      </c>
      <c r="N12" s="22" t="s">
        <v>19</v>
      </c>
      <c r="O12" s="30">
        <v>40544</v>
      </c>
    </row>
    <row r="13" spans="1:16" ht="30" x14ac:dyDescent="0.25">
      <c r="A13" s="33" t="s">
        <v>27</v>
      </c>
      <c r="B13" s="34" t="s">
        <v>24</v>
      </c>
      <c r="C13" s="34" t="s">
        <v>64</v>
      </c>
      <c r="D13" s="20">
        <v>9900000</v>
      </c>
      <c r="E13" s="32">
        <f>SUM(17095220+751966)</f>
        <v>17847186</v>
      </c>
      <c r="F13" s="35">
        <v>1039</v>
      </c>
      <c r="G13" s="35">
        <v>269</v>
      </c>
      <c r="H13" s="50" t="s">
        <v>28</v>
      </c>
      <c r="I13" s="50" t="s">
        <v>28</v>
      </c>
      <c r="J13" s="50" t="s">
        <v>28</v>
      </c>
      <c r="K13" s="50" t="s">
        <v>28</v>
      </c>
      <c r="L13" s="50" t="s">
        <v>28</v>
      </c>
      <c r="M13" s="50" t="s">
        <v>28</v>
      </c>
      <c r="N13" s="50" t="s">
        <v>28</v>
      </c>
      <c r="O13" s="30">
        <v>40544</v>
      </c>
    </row>
    <row r="14" spans="1:16" x14ac:dyDescent="0.25">
      <c r="A14" s="24" t="s">
        <v>29</v>
      </c>
      <c r="B14" s="24" t="s">
        <v>30</v>
      </c>
      <c r="C14" s="24" t="s">
        <v>65</v>
      </c>
      <c r="D14" s="31">
        <v>1900000</v>
      </c>
      <c r="E14" s="31">
        <v>1987898.23</v>
      </c>
      <c r="F14" s="10">
        <v>0</v>
      </c>
      <c r="G14" s="10">
        <v>0</v>
      </c>
      <c r="H14" s="10">
        <v>0</v>
      </c>
      <c r="I14" s="11">
        <v>43</v>
      </c>
      <c r="J14" s="12">
        <v>0</v>
      </c>
      <c r="K14" s="11">
        <f>H14-I14</f>
        <v>-43</v>
      </c>
      <c r="L14" s="36">
        <v>1300</v>
      </c>
      <c r="M14" s="37">
        <v>795.56</v>
      </c>
      <c r="N14" s="37">
        <v>902.25</v>
      </c>
      <c r="O14" s="19">
        <v>40179</v>
      </c>
    </row>
    <row r="15" spans="1:16" ht="45" x14ac:dyDescent="0.25">
      <c r="A15" s="24" t="s">
        <v>31</v>
      </c>
      <c r="B15" s="24" t="s">
        <v>30</v>
      </c>
      <c r="C15" s="24" t="s">
        <v>66</v>
      </c>
      <c r="D15" s="51" t="s">
        <v>32</v>
      </c>
      <c r="E15" s="51" t="s">
        <v>32</v>
      </c>
      <c r="F15" s="51" t="s">
        <v>32</v>
      </c>
      <c r="G15" s="51" t="s">
        <v>32</v>
      </c>
      <c r="H15" s="51" t="s">
        <v>32</v>
      </c>
      <c r="I15" s="51" t="s">
        <v>32</v>
      </c>
      <c r="J15" s="51" t="s">
        <v>32</v>
      </c>
      <c r="K15" s="51" t="s">
        <v>32</v>
      </c>
      <c r="L15" s="51" t="s">
        <v>32</v>
      </c>
      <c r="M15" s="51" t="s">
        <v>32</v>
      </c>
      <c r="N15" s="51" t="s">
        <v>32</v>
      </c>
      <c r="O15" s="19">
        <v>39814</v>
      </c>
    </row>
    <row r="16" spans="1:16" ht="45" x14ac:dyDescent="0.25">
      <c r="A16" s="24" t="s">
        <v>31</v>
      </c>
      <c r="B16" s="24" t="s">
        <v>30</v>
      </c>
      <c r="C16" s="24" t="s">
        <v>67</v>
      </c>
      <c r="D16" s="51" t="s">
        <v>32</v>
      </c>
      <c r="E16" s="51" t="s">
        <v>32</v>
      </c>
      <c r="F16" s="51" t="s">
        <v>32</v>
      </c>
      <c r="G16" s="51" t="s">
        <v>32</v>
      </c>
      <c r="H16" s="51" t="s">
        <v>32</v>
      </c>
      <c r="I16" s="51" t="s">
        <v>32</v>
      </c>
      <c r="J16" s="51" t="s">
        <v>32</v>
      </c>
      <c r="K16" s="51" t="s">
        <v>32</v>
      </c>
      <c r="L16" s="51" t="s">
        <v>32</v>
      </c>
      <c r="M16" s="51" t="s">
        <v>32</v>
      </c>
      <c r="N16" s="51" t="s">
        <v>32</v>
      </c>
      <c r="O16" s="19">
        <v>39814</v>
      </c>
    </row>
    <row r="17" spans="1:15" ht="45" x14ac:dyDescent="0.25">
      <c r="A17" s="24" t="s">
        <v>31</v>
      </c>
      <c r="B17" s="24" t="s">
        <v>30</v>
      </c>
      <c r="C17" s="24" t="s">
        <v>68</v>
      </c>
      <c r="D17" s="51" t="s">
        <v>32</v>
      </c>
      <c r="E17" s="51" t="s">
        <v>32</v>
      </c>
      <c r="F17" s="51" t="s">
        <v>32</v>
      </c>
      <c r="G17" s="51" t="s">
        <v>32</v>
      </c>
      <c r="H17" s="51" t="s">
        <v>32</v>
      </c>
      <c r="I17" s="51" t="s">
        <v>32</v>
      </c>
      <c r="J17" s="51" t="s">
        <v>32</v>
      </c>
      <c r="K17" s="51" t="s">
        <v>32</v>
      </c>
      <c r="L17" s="51" t="s">
        <v>32</v>
      </c>
      <c r="M17" s="51" t="s">
        <v>32</v>
      </c>
      <c r="N17" s="51" t="s">
        <v>32</v>
      </c>
      <c r="O17" s="19">
        <v>39814</v>
      </c>
    </row>
    <row r="18" spans="1:15" x14ac:dyDescent="0.25">
      <c r="A18" s="24" t="s">
        <v>33</v>
      </c>
      <c r="B18" s="24" t="s">
        <v>30</v>
      </c>
      <c r="C18" s="24" t="s">
        <v>69</v>
      </c>
      <c r="D18" s="31">
        <v>272000</v>
      </c>
      <c r="E18" s="32">
        <f>SUM(283647+4162+6000)</f>
        <v>293809</v>
      </c>
      <c r="F18" s="10">
        <v>1</v>
      </c>
      <c r="G18" s="10">
        <v>0</v>
      </c>
      <c r="H18" s="10">
        <v>5</v>
      </c>
      <c r="I18" s="11">
        <v>5</v>
      </c>
      <c r="J18" s="12">
        <v>0</v>
      </c>
      <c r="K18" s="12">
        <v>0</v>
      </c>
      <c r="L18" s="36">
        <v>2330</v>
      </c>
      <c r="M18" s="37">
        <v>53.1</v>
      </c>
      <c r="N18" s="37">
        <v>59.8</v>
      </c>
      <c r="O18" s="19">
        <v>40179</v>
      </c>
    </row>
    <row r="19" spans="1:15" ht="30" x14ac:dyDescent="0.25">
      <c r="A19" s="24" t="s">
        <v>34</v>
      </c>
      <c r="B19" s="24" t="s">
        <v>30</v>
      </c>
      <c r="C19" s="24" t="s">
        <v>70</v>
      </c>
      <c r="D19" s="31">
        <v>650000</v>
      </c>
      <c r="E19" s="31">
        <v>842500</v>
      </c>
      <c r="F19" s="10">
        <v>0</v>
      </c>
      <c r="G19" s="10">
        <v>0</v>
      </c>
      <c r="H19" s="10">
        <v>0</v>
      </c>
      <c r="I19" s="10">
        <v>0</v>
      </c>
      <c r="J19" s="12">
        <v>0</v>
      </c>
      <c r="K19" s="12">
        <v>0</v>
      </c>
      <c r="L19" s="38">
        <v>0</v>
      </c>
      <c r="M19" s="38">
        <v>523.73</v>
      </c>
      <c r="N19" s="38">
        <v>1955.19</v>
      </c>
      <c r="O19" s="19">
        <v>40179</v>
      </c>
    </row>
    <row r="20" spans="1:15" ht="30" x14ac:dyDescent="0.25">
      <c r="A20" s="29" t="s">
        <v>35</v>
      </c>
      <c r="B20" s="4" t="s">
        <v>36</v>
      </c>
      <c r="C20" s="24" t="s">
        <v>71</v>
      </c>
      <c r="D20" s="39">
        <v>94000000</v>
      </c>
      <c r="E20" s="40">
        <f>SUM(191005110+19281211+12224354+9337509+889284)</f>
        <v>232737468</v>
      </c>
      <c r="F20" s="9">
        <v>0</v>
      </c>
      <c r="G20" s="9">
        <v>0</v>
      </c>
      <c r="H20" s="9">
        <v>803</v>
      </c>
      <c r="I20" s="9">
        <v>25</v>
      </c>
      <c r="J20" s="9">
        <v>490</v>
      </c>
      <c r="K20" s="9">
        <f>H20-I20-J20</f>
        <v>288</v>
      </c>
      <c r="L20" s="41">
        <v>1133</v>
      </c>
      <c r="M20" s="42">
        <v>1881.68</v>
      </c>
      <c r="N20" s="42">
        <v>2036.81</v>
      </c>
      <c r="O20" s="43">
        <v>40179</v>
      </c>
    </row>
    <row r="21" spans="1:15" x14ac:dyDescent="0.25">
      <c r="A21" s="29" t="s">
        <v>37</v>
      </c>
      <c r="B21" s="4" t="s">
        <v>36</v>
      </c>
      <c r="C21" s="24" t="s">
        <v>72</v>
      </c>
      <c r="D21" s="39">
        <v>22000000</v>
      </c>
      <c r="E21" s="39">
        <v>29459544.100000001</v>
      </c>
      <c r="F21" s="9">
        <v>0</v>
      </c>
      <c r="G21" s="9">
        <v>0</v>
      </c>
      <c r="H21" s="9" t="s">
        <v>19</v>
      </c>
      <c r="I21" s="9" t="s">
        <v>19</v>
      </c>
      <c r="J21" s="9">
        <v>0</v>
      </c>
      <c r="K21" s="9" t="s">
        <v>19</v>
      </c>
      <c r="L21" s="9" t="s">
        <v>19</v>
      </c>
      <c r="M21" s="9" t="s">
        <v>19</v>
      </c>
      <c r="N21" s="9" t="s">
        <v>19</v>
      </c>
      <c r="O21" s="43">
        <v>40909</v>
      </c>
    </row>
    <row r="22" spans="1:15" ht="30" x14ac:dyDescent="0.25">
      <c r="A22" s="29" t="s">
        <v>38</v>
      </c>
      <c r="B22" s="29" t="s">
        <v>39</v>
      </c>
      <c r="C22" s="24" t="s">
        <v>73</v>
      </c>
      <c r="D22" s="25">
        <v>50000000</v>
      </c>
      <c r="E22" s="44">
        <f>SUM(188126850+380870+1129831+652059+5066340+502075+2698549+260995+831801+23666+1555763)</f>
        <v>201228799</v>
      </c>
      <c r="F22" s="5">
        <v>150</v>
      </c>
      <c r="G22" s="5">
        <v>0</v>
      </c>
      <c r="H22" s="10">
        <v>168</v>
      </c>
      <c r="I22" s="10">
        <v>15</v>
      </c>
      <c r="J22" s="10">
        <v>14</v>
      </c>
      <c r="K22" s="12">
        <f>H22-I22-J22</f>
        <v>139</v>
      </c>
      <c r="L22" s="36">
        <v>986</v>
      </c>
      <c r="M22" s="45">
        <v>196.01</v>
      </c>
      <c r="N22" s="45">
        <v>257.93</v>
      </c>
      <c r="O22" s="19">
        <v>40179</v>
      </c>
    </row>
    <row r="23" spans="1:15" x14ac:dyDescent="0.25">
      <c r="A23" s="29" t="s">
        <v>40</v>
      </c>
      <c r="B23" s="29" t="s">
        <v>41</v>
      </c>
      <c r="C23" s="24" t="s">
        <v>74</v>
      </c>
      <c r="D23" s="25">
        <v>1050000</v>
      </c>
      <c r="E23" s="25">
        <v>2258217</v>
      </c>
      <c r="F23" s="5">
        <v>0</v>
      </c>
      <c r="G23" s="5">
        <v>0</v>
      </c>
      <c r="H23" s="10">
        <v>0</v>
      </c>
      <c r="I23" s="10">
        <v>0</v>
      </c>
      <c r="J23" s="10">
        <v>305</v>
      </c>
      <c r="K23" s="12">
        <f>H23-I23-J23</f>
        <v>-305</v>
      </c>
      <c r="L23" s="12">
        <v>0</v>
      </c>
      <c r="M23" s="37">
        <v>23.89</v>
      </c>
      <c r="N23" s="37">
        <v>63.66</v>
      </c>
      <c r="O23" s="19">
        <v>40179</v>
      </c>
    </row>
    <row r="24" spans="1:15" ht="30" x14ac:dyDescent="0.25">
      <c r="A24" s="46" t="s">
        <v>42</v>
      </c>
      <c r="B24" s="29" t="s">
        <v>43</v>
      </c>
      <c r="C24" s="24" t="s">
        <v>75</v>
      </c>
      <c r="D24" s="25">
        <v>0</v>
      </c>
      <c r="E24" s="39">
        <f>11862086+519549+11672.39</f>
        <v>12393307.390000001</v>
      </c>
      <c r="F24" s="47">
        <v>0</v>
      </c>
      <c r="G24" s="5">
        <v>0</v>
      </c>
      <c r="H24" s="5">
        <v>15</v>
      </c>
      <c r="I24" s="5">
        <v>4</v>
      </c>
      <c r="J24" s="47">
        <v>8</v>
      </c>
      <c r="K24" s="9">
        <v>3</v>
      </c>
      <c r="L24" s="41">
        <v>1000</v>
      </c>
      <c r="M24" s="47">
        <v>1032.8399999999999</v>
      </c>
      <c r="N24" s="5">
        <v>898.44</v>
      </c>
      <c r="O24" s="19">
        <v>39814</v>
      </c>
    </row>
    <row r="25" spans="1:15" ht="45" x14ac:dyDescent="0.25">
      <c r="A25" s="24" t="s">
        <v>44</v>
      </c>
      <c r="B25" s="29" t="s">
        <v>44</v>
      </c>
      <c r="C25" s="24" t="s">
        <v>76</v>
      </c>
      <c r="D25" s="25">
        <v>302000</v>
      </c>
      <c r="E25" s="25">
        <v>723915</v>
      </c>
      <c r="F25" s="24" t="s">
        <v>32</v>
      </c>
      <c r="G25" s="24" t="s">
        <v>32</v>
      </c>
      <c r="H25" s="24" t="s">
        <v>32</v>
      </c>
      <c r="I25" s="24" t="s">
        <v>32</v>
      </c>
      <c r="J25" s="24" t="s">
        <v>32</v>
      </c>
      <c r="K25" s="24" t="s">
        <v>32</v>
      </c>
      <c r="L25" s="24" t="s">
        <v>32</v>
      </c>
      <c r="M25" s="24" t="s">
        <v>32</v>
      </c>
      <c r="N25" s="24" t="s">
        <v>32</v>
      </c>
      <c r="O25" s="19">
        <v>39814</v>
      </c>
    </row>
    <row r="26" spans="1:15" x14ac:dyDescent="0.25">
      <c r="A26" s="24" t="s">
        <v>45</v>
      </c>
      <c r="B26" s="29" t="s">
        <v>46</v>
      </c>
      <c r="C26" s="24" t="s">
        <v>77</v>
      </c>
      <c r="D26" s="25">
        <v>0</v>
      </c>
      <c r="E26" s="25">
        <f>SUM(6692268.06+2700166.4+456109.3+215000)</f>
        <v>10063543.76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27">
        <v>-4.42</v>
      </c>
      <c r="N26" s="27">
        <v>2770.16</v>
      </c>
      <c r="O26" s="19">
        <v>39448</v>
      </c>
    </row>
    <row r="27" spans="1:15" ht="30" x14ac:dyDescent="0.25">
      <c r="A27" s="24" t="s">
        <v>47</v>
      </c>
      <c r="B27" s="29" t="s">
        <v>46</v>
      </c>
      <c r="C27" s="24" t="s">
        <v>78</v>
      </c>
      <c r="D27" s="31">
        <v>0</v>
      </c>
      <c r="E27" s="31">
        <f>SUM(5119952+2007142+85000+1013620+45000+45000+18567+256590+1000+261850+1000)</f>
        <v>8854721</v>
      </c>
      <c r="F27" s="5">
        <v>0</v>
      </c>
      <c r="G27" s="5">
        <v>0</v>
      </c>
      <c r="H27" s="5">
        <v>13</v>
      </c>
      <c r="I27" s="5">
        <v>0</v>
      </c>
      <c r="J27" s="5">
        <v>0</v>
      </c>
      <c r="K27" s="48">
        <f>H27-I27</f>
        <v>13</v>
      </c>
      <c r="L27" s="26">
        <v>0</v>
      </c>
      <c r="M27" s="27">
        <v>2234.91</v>
      </c>
      <c r="N27" s="27">
        <v>3276.65</v>
      </c>
      <c r="O27" s="19">
        <v>39814</v>
      </c>
    </row>
    <row r="28" spans="1:15" ht="30" x14ac:dyDescent="0.25">
      <c r="A28" s="7" t="s">
        <v>48</v>
      </c>
      <c r="B28" s="4" t="s">
        <v>49</v>
      </c>
      <c r="C28" s="7" t="s">
        <v>50</v>
      </c>
      <c r="D28" s="25">
        <v>400000000</v>
      </c>
      <c r="E28" s="40">
        <f>467650317+4857157+86874+1366877+14079234+3732046-131875</f>
        <v>491640630</v>
      </c>
      <c r="F28" s="5">
        <v>0</v>
      </c>
      <c r="G28" s="13">
        <v>12000</v>
      </c>
      <c r="H28" s="13" t="s">
        <v>19</v>
      </c>
      <c r="I28" s="13" t="s">
        <v>19</v>
      </c>
      <c r="J28" s="5">
        <v>6758</v>
      </c>
      <c r="K28" s="52" t="s">
        <v>19</v>
      </c>
      <c r="L28" s="52" t="s">
        <v>19</v>
      </c>
      <c r="M28" s="22" t="s">
        <v>19</v>
      </c>
      <c r="N28" s="22" t="s">
        <v>19</v>
      </c>
      <c r="O28" s="19">
        <v>40544</v>
      </c>
    </row>
    <row r="29" spans="1:15" ht="30" x14ac:dyDescent="0.25">
      <c r="A29" s="23" t="s">
        <v>51</v>
      </c>
      <c r="B29" s="4" t="s">
        <v>49</v>
      </c>
      <c r="C29" s="7" t="s">
        <v>52</v>
      </c>
      <c r="D29" s="25">
        <v>75000000</v>
      </c>
      <c r="E29" s="25">
        <f>SUM(30021452.15+34820464+45952708+90686570+177197285+262224650+167056)</f>
        <v>641070185.14999998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3">
        <v>0</v>
      </c>
      <c r="L29" s="41">
        <v>0</v>
      </c>
      <c r="M29" s="22" t="s">
        <v>19</v>
      </c>
      <c r="N29" s="22" t="s">
        <v>19</v>
      </c>
      <c r="O29" s="19">
        <v>40909</v>
      </c>
    </row>
  </sheetData>
  <autoFilter ref="A1:O29" xr:uid="{3720C8C2-8ED2-4022-A72A-D9331EC63D7F}"/>
  <printOptions horizontalCentered="1"/>
  <pageMargins left="0.25" right="0.25" top="0.75" bottom="0.75" header="0.3" footer="0.3"/>
  <pageSetup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Geo Company Specific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2025-10-21T17:27:10Z</dcterms:created>
  <dcterms:modified xsi:type="dcterms:W3CDTF">2025-10-30T13:04:00Z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2025-10-30T13:02:56Z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934f5aa9-5314-4f6d-9a4c-d4358b58b765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